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105" windowWidth="19320" windowHeight="10155" activeTab="0"/>
  </bookViews>
  <sheets>
    <sheet name="PEN" sheetId="1" r:id="rId1"/>
    <sheet name="Datenvorlage" sheetId="2" r:id="rId2"/>
    <sheet name="Normwerte" sheetId="3" r:id="rId3"/>
  </sheets>
  <definedNames>
    <definedName name="_xlnm.Print_Area" localSheetId="0">'PEN'!$A$1:$L$46</definedName>
    <definedName name="Grundinfusion">'Datenvorlage'!$A$36:$L$40</definedName>
    <definedName name="GrundinfusionName">'Datenvorlage'!$A$36:$A$40</definedName>
    <definedName name="Milchtabelle">'Datenvorlage'!$A$3:$L$13</definedName>
    <definedName name="PENLösung">'Datenvorlage'!$A$20:$M$30</definedName>
    <definedName name="PENLösungNamen">'Datenvorlage'!$A$20:$M$30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Michael Hitzler</author>
  </authors>
  <commentList>
    <comment ref="C17" authorId="0">
      <text>
        <r>
          <rPr>
            <b/>
            <sz val="8"/>
            <rFont val="Tahoma"/>
            <family val="0"/>
          </rPr>
          <t>Bedarf i.v.:
0-6 Mte  0.8 mmol/kg (= 3.5 ml/kg 10% Ca-Sandoz) 
7-12 Mt   0.5 mmol/kg ( = 2.2 ml/kg 10% Ca-Sandoz)
über 12 Mte 0.2 mmol/kg (= 0.9 ml/kg 10% Ca-Sandoz)
Zusätzliche Ca Gabe darf 10mmol/Liter PEN-Lösung nicht überschreiten !</t>
        </r>
      </text>
    </comment>
    <comment ref="C18" authorId="0">
      <text>
        <r>
          <rPr>
            <b/>
            <sz val="8"/>
            <rFont val="Tahoma"/>
            <family val="0"/>
          </rPr>
          <t>Bedarf:
4ml/kg/d, max. 10ml/d
&gt;11 Jahre: Vitalipid adult N 10ml/d</t>
        </r>
      </text>
    </comment>
    <comment ref="C19" authorId="0">
      <text>
        <r>
          <rPr>
            <b/>
            <sz val="8"/>
            <rFont val="Tahoma"/>
            <family val="0"/>
          </rPr>
          <t>Bedarf:
&lt;25kg: Peditrace 1ml/kg/d, max. 15ml/d
&gt;25kg: 1 Amp. Adamel adult N =10ml/d</t>
        </r>
      </text>
    </comment>
    <comment ref="C20" authorId="0">
      <text>
        <r>
          <rPr>
            <b/>
            <sz val="8"/>
            <rFont val="Tahoma"/>
            <family val="0"/>
          </rPr>
          <t>Bedarf:
1ml/kg/d
max. 10ml//d
&gt;11 Jahre: 10ml/d</t>
        </r>
      </text>
    </comment>
    <comment ref="C8" authorId="1">
      <text>
        <r>
          <rPr>
            <b/>
            <sz val="8"/>
            <rFont val="Tahoma"/>
            <family val="0"/>
          </rPr>
          <t>Bedarf:
Neugeborene:          1.5-3.0g/kg/d
bis und mit 2. LJ:     1.0-2.5g/kg/d
ab 3. LJ:                     1.0-2.0g/kg/d</t>
        </r>
        <r>
          <rPr>
            <sz val="8"/>
            <rFont val="Tahoma"/>
            <family val="0"/>
          </rPr>
          <t xml:space="preserve">
</t>
        </r>
      </text>
    </comment>
    <comment ref="A27" authorId="1">
      <text>
        <r>
          <rPr>
            <b/>
            <sz val="8"/>
            <rFont val="Tahoma"/>
            <family val="0"/>
          </rPr>
          <t>Auswahlmenu</t>
        </r>
        <r>
          <rPr>
            <sz val="8"/>
            <rFont val="Tahoma"/>
            <family val="0"/>
          </rPr>
          <t xml:space="preserve">
</t>
        </r>
      </text>
    </comment>
    <comment ref="A7" authorId="1">
      <text>
        <r>
          <rPr>
            <b/>
            <sz val="8"/>
            <rFont val="Tahoma"/>
            <family val="0"/>
          </rPr>
          <t>Auswahlmenu</t>
        </r>
      </text>
    </comment>
    <comment ref="C14" authorId="1">
      <text>
        <r>
          <rPr>
            <b/>
            <sz val="8"/>
            <rFont val="Tahoma"/>
            <family val="0"/>
          </rPr>
          <t>NaCl 23.4% 
1ml = 4mmol NaCl</t>
        </r>
        <r>
          <rPr>
            <sz val="8"/>
            <rFont val="Tahoma"/>
            <family val="0"/>
          </rPr>
          <t xml:space="preserve">
</t>
        </r>
      </text>
    </comment>
    <comment ref="C15" authorId="1">
      <text>
        <r>
          <rPr>
            <b/>
            <sz val="8"/>
            <rFont val="Tahoma"/>
            <family val="0"/>
          </rPr>
          <t>KCl 15%
1ml=2mmol KCl</t>
        </r>
      </text>
    </comment>
    <comment ref="C16" authorId="1">
      <text>
        <r>
          <rPr>
            <b/>
            <sz val="8"/>
            <rFont val="Tahoma"/>
            <family val="0"/>
          </rPr>
          <t>Mg-Sulfat 50%
1ml=2mmol
Zusätzliche Mg Gabe darf 5 mmol/Liter PEN-Lösung nicht überschreiten !</t>
        </r>
      </text>
    </comment>
    <comment ref="A12" authorId="1">
      <text>
        <r>
          <rPr>
            <b/>
            <sz val="8"/>
            <rFont val="Tahoma"/>
            <family val="0"/>
          </rPr>
          <t>Auswahlmenu</t>
        </r>
      </text>
    </comment>
    <comment ref="A11" authorId="1">
      <text>
        <r>
          <rPr>
            <b/>
            <sz val="8"/>
            <rFont val="Tahoma"/>
            <family val="0"/>
          </rPr>
          <t>Auswahlmenu:</t>
        </r>
      </text>
    </comment>
  </commentList>
</comments>
</file>

<file path=xl/sharedStrings.xml><?xml version="1.0" encoding="utf-8"?>
<sst xmlns="http://schemas.openxmlformats.org/spreadsheetml/2006/main" count="138" uniqueCount="73">
  <si>
    <t>Name:</t>
  </si>
  <si>
    <t>Gewicht:</t>
  </si>
  <si>
    <t>kg</t>
  </si>
  <si>
    <r>
      <t>Na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:</t>
    </r>
  </si>
  <si>
    <t>mmol/l</t>
  </si>
  <si>
    <t>Geburtsdatum:</t>
  </si>
  <si>
    <r>
      <t>K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:</t>
    </r>
  </si>
  <si>
    <t>Länge:</t>
  </si>
  <si>
    <t>cm</t>
  </si>
  <si>
    <r>
      <t>Ca</t>
    </r>
    <r>
      <rPr>
        <vertAlign val="superscript"/>
        <sz val="10"/>
        <rFont val="Arial"/>
        <family val="2"/>
      </rPr>
      <t>++</t>
    </r>
    <r>
      <rPr>
        <sz val="10"/>
        <rFont val="Arial"/>
        <family val="0"/>
      </rPr>
      <t>:</t>
    </r>
  </si>
  <si>
    <t>Körperoberfläche:</t>
  </si>
  <si>
    <r>
      <t>m</t>
    </r>
    <r>
      <rPr>
        <b/>
        <vertAlign val="superscript"/>
        <sz val="8"/>
        <color indexed="8"/>
        <rFont val="Arial"/>
        <family val="0"/>
      </rPr>
      <t>2</t>
    </r>
  </si>
  <si>
    <r>
      <t>Mg</t>
    </r>
    <r>
      <rPr>
        <vertAlign val="superscript"/>
        <sz val="10"/>
        <rFont val="Arial"/>
        <family val="2"/>
      </rPr>
      <t>++</t>
    </r>
    <r>
      <rPr>
        <sz val="10"/>
        <rFont val="Arial"/>
        <family val="0"/>
      </rPr>
      <t>:</t>
    </r>
  </si>
  <si>
    <t>Konz</t>
  </si>
  <si>
    <t>Menge</t>
  </si>
  <si>
    <t>Kalorien</t>
  </si>
  <si>
    <t>KH</t>
  </si>
  <si>
    <t>Fett</t>
  </si>
  <si>
    <t>Eiweiss</t>
  </si>
  <si>
    <r>
      <t>Na</t>
    </r>
    <r>
      <rPr>
        <b/>
        <vertAlign val="superscript"/>
        <sz val="10"/>
        <color indexed="8"/>
        <rFont val="Arial"/>
        <family val="2"/>
      </rPr>
      <t>+</t>
    </r>
  </si>
  <si>
    <r>
      <t>K</t>
    </r>
    <r>
      <rPr>
        <b/>
        <vertAlign val="superscript"/>
        <sz val="10"/>
        <rFont val="Arial"/>
        <family val="2"/>
      </rPr>
      <t>+</t>
    </r>
  </si>
  <si>
    <r>
      <t>Mg</t>
    </r>
    <r>
      <rPr>
        <b/>
        <vertAlign val="superscript"/>
        <sz val="10"/>
        <rFont val="Arial"/>
        <family val="2"/>
      </rPr>
      <t>++</t>
    </r>
  </si>
  <si>
    <r>
      <t>Ca</t>
    </r>
    <r>
      <rPr>
        <b/>
        <vertAlign val="superscript"/>
        <sz val="10"/>
        <rFont val="Arial"/>
        <family val="2"/>
      </rPr>
      <t>++</t>
    </r>
  </si>
  <si>
    <t>Ph</t>
  </si>
  <si>
    <t>%</t>
  </si>
  <si>
    <t>ml</t>
  </si>
  <si>
    <t>Kcal</t>
  </si>
  <si>
    <t>g</t>
  </si>
  <si>
    <t>mmol</t>
  </si>
  <si>
    <t>Glucose</t>
  </si>
  <si>
    <t>Glycophos</t>
  </si>
  <si>
    <t>NaCl 23.4%</t>
  </si>
  <si>
    <t>KCl 15%</t>
  </si>
  <si>
    <t>Ca-Sandoz 10%</t>
  </si>
  <si>
    <t>med. Flüssigkeit</t>
  </si>
  <si>
    <t>Total</t>
  </si>
  <si>
    <t>Sollwert /kg/Tag</t>
  </si>
  <si>
    <t>1-3</t>
  </si>
  <si>
    <t>Glucose: mg/kg/min</t>
  </si>
  <si>
    <t>Weitere Verordnungen:</t>
  </si>
  <si>
    <t>Soluvit N</t>
  </si>
  <si>
    <t>(1.3-1.7)</t>
  </si>
  <si>
    <t>Name</t>
  </si>
  <si>
    <t>Pregomin</t>
  </si>
  <si>
    <t>Preg. AS/Neocate</t>
  </si>
  <si>
    <t>Mengen pro 100ml</t>
  </si>
  <si>
    <t>Muttermilch</t>
  </si>
  <si>
    <t>Formulamilch 14%</t>
  </si>
  <si>
    <t>gramm</t>
  </si>
  <si>
    <t>Frebini original</t>
  </si>
  <si>
    <t>Fresubin original</t>
  </si>
  <si>
    <t>Totale IV-Flüssigkeit</t>
  </si>
  <si>
    <t>Nutriflex basal 1000ml</t>
  </si>
  <si>
    <t>Mengen pro 1000ml</t>
  </si>
  <si>
    <t>Mg-Sulfat 50%</t>
  </si>
  <si>
    <t>NaCl 0.9%</t>
  </si>
  <si>
    <t>Misch 2:1</t>
  </si>
  <si>
    <t>Misch 4:1</t>
  </si>
  <si>
    <t>Verh. Ca/P:</t>
  </si>
  <si>
    <t>pro Kg</t>
  </si>
  <si>
    <t xml:space="preserve">pro Kg </t>
  </si>
  <si>
    <t>Menge pro 1000ml</t>
  </si>
  <si>
    <t>AA:</t>
  </si>
  <si>
    <t>OA/LA:</t>
  </si>
  <si>
    <t>SmofKabiven 986 ml</t>
  </si>
  <si>
    <t>StruktoKabiven peripher</t>
  </si>
  <si>
    <t>Cl</t>
  </si>
  <si>
    <t>StruktoKabiven EF ohne E'lyte</t>
  </si>
  <si>
    <t>SMOFlipid 20%</t>
  </si>
  <si>
    <t>Ringerfundind Braun</t>
  </si>
  <si>
    <t>Malat</t>
  </si>
  <si>
    <t>Acetat</t>
  </si>
  <si>
    <t>Lactat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</si>
</sst>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&quot; ml/kg/d&quot;"/>
    <numFmt numFmtId="171" formatCode="0.0;\-0.0;"/>
    <numFmt numFmtId="172" formatCode="0&quot;:1&quot;"/>
    <numFmt numFmtId="173" formatCode="0;\-0;"/>
    <numFmt numFmtId="174" formatCode="0&quot; /d&quot;"/>
    <numFmt numFmtId="175" formatCode="0.0"/>
    <numFmt numFmtId="176" formatCode="[$-807]dddd\,\ d\.\ mmmm\ yyyy"/>
  </numFmts>
  <fonts count="51">
    <font>
      <sz val="10"/>
      <name val="Arial"/>
      <family val="0"/>
    </font>
    <font>
      <b/>
      <sz val="10"/>
      <name val="Arial"/>
      <family val="0"/>
    </font>
    <font>
      <b/>
      <i/>
      <sz val="12"/>
      <color indexed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i/>
      <sz val="8"/>
      <name val="Arial"/>
      <family val="0"/>
    </font>
    <font>
      <sz val="10"/>
      <name val="Wingdings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3" borderId="2" applyNumberFormat="0" applyAlignment="0" applyProtection="0"/>
    <xf numFmtId="41" fontId="0" fillId="0" borderId="0" applyFont="0" applyFill="0" applyBorder="0" applyAlignment="0" applyProtection="0"/>
    <xf numFmtId="0" fontId="41" fillId="24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43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9" applyNumberFormat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2" fillId="30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49" fontId="1" fillId="0" borderId="0" xfId="0" applyNumberFormat="1" applyFont="1" applyBorder="1" applyAlignment="1" applyProtection="1">
      <alignment/>
      <protection locked="0"/>
    </xf>
    <xf numFmtId="14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15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Continuous"/>
      <protection locked="0"/>
    </xf>
    <xf numFmtId="0" fontId="0" fillId="0" borderId="16" xfId="0" applyBorder="1" applyAlignment="1">
      <alignment horizontal="centerContinuous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2" fillId="30" borderId="0" xfId="0" applyFont="1" applyFill="1" applyBorder="1" applyAlignment="1" applyProtection="1">
      <alignment horizontal="center"/>
      <protection locked="0"/>
    </xf>
    <xf numFmtId="170" fontId="1" fillId="0" borderId="0" xfId="0" applyNumberFormat="1" applyFont="1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right"/>
    </xf>
    <xf numFmtId="2" fontId="8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4" fillId="0" borderId="18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31" borderId="21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9" fillId="22" borderId="21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26" borderId="21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171" fontId="1" fillId="0" borderId="25" xfId="0" applyNumberFormat="1" applyFont="1" applyFill="1" applyBorder="1" applyAlignment="1" applyProtection="1">
      <alignment horizontal="center"/>
      <protection locked="0"/>
    </xf>
    <xf numFmtId="171" fontId="0" fillId="0" borderId="26" xfId="0" applyNumberFormat="1" applyFill="1" applyBorder="1" applyAlignment="1">
      <alignment horizontal="center"/>
    </xf>
    <xf numFmtId="171" fontId="13" fillId="31" borderId="26" xfId="0" applyNumberFormat="1" applyFont="1" applyFill="1" applyBorder="1" applyAlignment="1">
      <alignment horizontal="center"/>
    </xf>
    <xf numFmtId="171" fontId="0" fillId="32" borderId="26" xfId="0" applyNumberFormat="1" applyFill="1" applyBorder="1" applyAlignment="1">
      <alignment horizontal="center"/>
    </xf>
    <xf numFmtId="171" fontId="0" fillId="35" borderId="26" xfId="0" applyNumberFormat="1" applyFill="1" applyBorder="1" applyAlignment="1">
      <alignment horizontal="center"/>
    </xf>
    <xf numFmtId="171" fontId="13" fillId="22" borderId="26" xfId="0" applyNumberFormat="1" applyFont="1" applyFill="1" applyBorder="1" applyAlignment="1">
      <alignment horizontal="center"/>
    </xf>
    <xf numFmtId="171" fontId="0" fillId="12" borderId="26" xfId="0" applyNumberFormat="1" applyFill="1" applyBorder="1" applyAlignment="1">
      <alignment horizontal="center"/>
    </xf>
    <xf numFmtId="171" fontId="0" fillId="26" borderId="26" xfId="0" applyNumberFormat="1" applyFill="1" applyBorder="1" applyAlignment="1">
      <alignment horizontal="center"/>
    </xf>
    <xf numFmtId="171" fontId="0" fillId="22" borderId="25" xfId="0" applyNumberForma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 horizontal="center"/>
    </xf>
    <xf numFmtId="171" fontId="1" fillId="35" borderId="25" xfId="0" applyNumberFormat="1" applyFont="1" applyFill="1" applyBorder="1" applyAlignment="1" applyProtection="1">
      <alignment horizontal="center"/>
      <protection locked="0"/>
    </xf>
    <xf numFmtId="171" fontId="13" fillId="35" borderId="26" xfId="0" applyNumberFormat="1" applyFont="1" applyFill="1" applyBorder="1" applyAlignment="1">
      <alignment horizontal="center"/>
    </xf>
    <xf numFmtId="171" fontId="0" fillId="0" borderId="25" xfId="0" applyNumberFormat="1" applyFill="1" applyBorder="1" applyAlignment="1">
      <alignment horizontal="center"/>
    </xf>
    <xf numFmtId="0" fontId="0" fillId="32" borderId="27" xfId="0" applyFill="1" applyBorder="1" applyAlignment="1">
      <alignment/>
    </xf>
    <xf numFmtId="171" fontId="1" fillId="32" borderId="25" xfId="0" applyNumberFormat="1" applyFont="1" applyFill="1" applyBorder="1" applyAlignment="1" applyProtection="1">
      <alignment horizontal="center"/>
      <protection locked="0"/>
    </xf>
    <xf numFmtId="171" fontId="13" fillId="32" borderId="26" xfId="0" applyNumberFormat="1" applyFont="1" applyFill="1" applyBorder="1" applyAlignment="1">
      <alignment horizontal="center"/>
    </xf>
    <xf numFmtId="0" fontId="0" fillId="31" borderId="28" xfId="0" applyFill="1" applyBorder="1" applyAlignment="1">
      <alignment/>
    </xf>
    <xf numFmtId="0" fontId="0" fillId="31" borderId="25" xfId="0" applyFill="1" applyBorder="1" applyAlignment="1" applyProtection="1">
      <alignment horizontal="center"/>
      <protection locked="0"/>
    </xf>
    <xf numFmtId="171" fontId="9" fillId="31" borderId="25" xfId="0" applyNumberFormat="1" applyFont="1" applyFill="1" applyBorder="1" applyAlignment="1" applyProtection="1">
      <alignment horizontal="center"/>
      <protection locked="0"/>
    </xf>
    <xf numFmtId="171" fontId="0" fillId="22" borderId="26" xfId="0" applyNumberFormat="1" applyFill="1" applyBorder="1" applyAlignment="1">
      <alignment horizontal="center"/>
    </xf>
    <xf numFmtId="171" fontId="1" fillId="22" borderId="25" xfId="0" applyNumberFormat="1" applyFont="1" applyFill="1" applyBorder="1" applyAlignment="1" applyProtection="1">
      <alignment horizontal="center"/>
      <protection locked="0"/>
    </xf>
    <xf numFmtId="0" fontId="0" fillId="22" borderId="24" xfId="0" applyFill="1" applyBorder="1" applyAlignment="1">
      <alignment/>
    </xf>
    <xf numFmtId="0" fontId="0" fillId="22" borderId="25" xfId="0" applyFill="1" applyBorder="1" applyAlignment="1">
      <alignment horizontal="center"/>
    </xf>
    <xf numFmtId="171" fontId="9" fillId="22" borderId="25" xfId="0" applyNumberFormat="1" applyFont="1" applyFill="1" applyBorder="1" applyAlignment="1" applyProtection="1">
      <alignment horizontal="center"/>
      <protection locked="0"/>
    </xf>
    <xf numFmtId="171" fontId="0" fillId="22" borderId="25" xfId="0" applyNumberForma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 horizontal="center"/>
    </xf>
    <xf numFmtId="171" fontId="1" fillId="34" borderId="25" xfId="0" applyNumberFormat="1" applyFont="1" applyFill="1" applyBorder="1" applyAlignment="1" applyProtection="1">
      <alignment horizontal="center"/>
      <protection locked="0"/>
    </xf>
    <xf numFmtId="171" fontId="0" fillId="34" borderId="26" xfId="0" applyNumberFormat="1" applyFill="1" applyBorder="1" applyAlignment="1">
      <alignment horizontal="center"/>
    </xf>
    <xf numFmtId="0" fontId="0" fillId="12" borderId="24" xfId="0" applyFill="1" applyBorder="1" applyAlignment="1">
      <alignment/>
    </xf>
    <xf numFmtId="0" fontId="0" fillId="12" borderId="25" xfId="0" applyFill="1" applyBorder="1" applyAlignment="1">
      <alignment horizontal="center"/>
    </xf>
    <xf numFmtId="171" fontId="1" fillId="12" borderId="25" xfId="0" applyNumberFormat="1" applyFont="1" applyFill="1" applyBorder="1" applyAlignment="1" applyProtection="1">
      <alignment horizontal="center"/>
      <protection locked="0"/>
    </xf>
    <xf numFmtId="0" fontId="0" fillId="26" borderId="24" xfId="0" applyFill="1" applyBorder="1" applyAlignment="1">
      <alignment/>
    </xf>
    <xf numFmtId="0" fontId="0" fillId="26" borderId="25" xfId="0" applyFill="1" applyBorder="1" applyAlignment="1">
      <alignment horizontal="center"/>
    </xf>
    <xf numFmtId="171" fontId="1" fillId="26" borderId="25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71" fontId="1" fillId="0" borderId="25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171" fontId="1" fillId="0" borderId="30" xfId="0" applyNumberFormat="1" applyFont="1" applyFill="1" applyBorder="1" applyAlignment="1" applyProtection="1">
      <alignment horizontal="center"/>
      <protection/>
    </xf>
    <xf numFmtId="171" fontId="0" fillId="0" borderId="31" xfId="0" applyNumberFormat="1" applyFill="1" applyBorder="1" applyAlignment="1">
      <alignment horizontal="center"/>
    </xf>
    <xf numFmtId="171" fontId="13" fillId="31" borderId="31" xfId="0" applyNumberFormat="1" applyFont="1" applyFill="1" applyBorder="1" applyAlignment="1">
      <alignment horizontal="center"/>
    </xf>
    <xf numFmtId="171" fontId="0" fillId="32" borderId="31" xfId="0" applyNumberFormat="1" applyFill="1" applyBorder="1" applyAlignment="1">
      <alignment horizontal="center"/>
    </xf>
    <xf numFmtId="171" fontId="0" fillId="35" borderId="31" xfId="0" applyNumberFormat="1" applyFill="1" applyBorder="1" applyAlignment="1">
      <alignment horizontal="center"/>
    </xf>
    <xf numFmtId="171" fontId="13" fillId="22" borderId="31" xfId="0" applyNumberFormat="1" applyFont="1" applyFill="1" applyBorder="1" applyAlignment="1">
      <alignment horizontal="center"/>
    </xf>
    <xf numFmtId="171" fontId="0" fillId="34" borderId="31" xfId="0" applyNumberFormat="1" applyFill="1" applyBorder="1" applyAlignment="1">
      <alignment horizontal="center"/>
    </xf>
    <xf numFmtId="171" fontId="0" fillId="36" borderId="31" xfId="0" applyNumberFormat="1" applyFill="1" applyBorder="1" applyAlignment="1">
      <alignment horizontal="center"/>
    </xf>
    <xf numFmtId="171" fontId="0" fillId="26" borderId="31" xfId="0" applyNumberFormat="1" applyFill="1" applyBorder="1" applyAlignment="1">
      <alignment horizontal="center"/>
    </xf>
    <xf numFmtId="171" fontId="0" fillId="22" borderId="30" xfId="0" applyNumberFormat="1" applyFill="1" applyBorder="1" applyAlignment="1">
      <alignment horizontal="center"/>
    </xf>
    <xf numFmtId="0" fontId="15" fillId="0" borderId="0" xfId="0" applyFont="1" applyAlignment="1">
      <alignment/>
    </xf>
    <xf numFmtId="17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 locked="0"/>
    </xf>
    <xf numFmtId="0" fontId="17" fillId="0" borderId="1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>
      <alignment/>
    </xf>
    <xf numFmtId="49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23" borderId="19" xfId="0" applyFill="1" applyBorder="1" applyAlignment="1">
      <alignment/>
    </xf>
    <xf numFmtId="0" fontId="0" fillId="23" borderId="34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3" borderId="38" xfId="0" applyFill="1" applyBorder="1" applyAlignment="1">
      <alignment/>
    </xf>
    <xf numFmtId="0" fontId="0" fillId="23" borderId="10" xfId="0" applyFill="1" applyBorder="1" applyAlignment="1">
      <alignment/>
    </xf>
    <xf numFmtId="0" fontId="0" fillId="0" borderId="14" xfId="0" applyBorder="1" applyAlignment="1">
      <alignment/>
    </xf>
    <xf numFmtId="171" fontId="1" fillId="0" borderId="16" xfId="0" applyNumberFormat="1" applyFont="1" applyFill="1" applyBorder="1" applyAlignment="1" applyProtection="1">
      <alignment horizontal="center"/>
      <protection locked="0"/>
    </xf>
    <xf numFmtId="171" fontId="0" fillId="0" borderId="21" xfId="0" applyNumberFormat="1" applyFill="1" applyBorder="1" applyAlignment="1" applyProtection="1">
      <alignment horizontal="center"/>
      <protection locked="0"/>
    </xf>
    <xf numFmtId="171" fontId="13" fillId="31" borderId="21" xfId="0" applyNumberFormat="1" applyFont="1" applyFill="1" applyBorder="1" applyAlignment="1" applyProtection="1">
      <alignment horizontal="center"/>
      <protection locked="0"/>
    </xf>
    <xf numFmtId="171" fontId="0" fillId="32" borderId="21" xfId="0" applyNumberFormat="1" applyFill="1" applyBorder="1" applyAlignment="1" applyProtection="1">
      <alignment horizontal="center"/>
      <protection locked="0"/>
    </xf>
    <xf numFmtId="171" fontId="0" fillId="35" borderId="21" xfId="0" applyNumberFormat="1" applyFill="1" applyBorder="1" applyAlignment="1" applyProtection="1">
      <alignment horizontal="center"/>
      <protection locked="0"/>
    </xf>
    <xf numFmtId="171" fontId="13" fillId="22" borderId="21" xfId="0" applyNumberFormat="1" applyFont="1" applyFill="1" applyBorder="1" applyAlignment="1" applyProtection="1">
      <alignment horizontal="center"/>
      <protection locked="0"/>
    </xf>
    <xf numFmtId="171" fontId="0" fillId="34" borderId="21" xfId="0" applyNumberFormat="1" applyFill="1" applyBorder="1" applyAlignment="1" applyProtection="1">
      <alignment horizontal="center"/>
      <protection locked="0"/>
    </xf>
    <xf numFmtId="171" fontId="0" fillId="12" borderId="21" xfId="0" applyNumberFormat="1" applyFill="1" applyBorder="1" applyAlignment="1" applyProtection="1">
      <alignment horizontal="center"/>
      <protection locked="0"/>
    </xf>
    <xf numFmtId="171" fontId="0" fillId="26" borderId="21" xfId="0" applyNumberFormat="1" applyFill="1" applyBorder="1" applyAlignment="1" applyProtection="1">
      <alignment horizontal="center"/>
      <protection locked="0"/>
    </xf>
    <xf numFmtId="171" fontId="0" fillId="22" borderId="16" xfId="0" applyNumberFormat="1" applyFill="1" applyBorder="1" applyAlignment="1" applyProtection="1">
      <alignment/>
      <protection locked="0"/>
    </xf>
    <xf numFmtId="0" fontId="0" fillId="0" borderId="39" xfId="0" applyBorder="1" applyAlignment="1">
      <alignment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>
      <alignment/>
    </xf>
    <xf numFmtId="173" fontId="1" fillId="0" borderId="41" xfId="0" applyNumberFormat="1" applyFont="1" applyFill="1" applyBorder="1" applyAlignment="1" applyProtection="1">
      <alignment horizontal="center"/>
      <protection locked="0"/>
    </xf>
    <xf numFmtId="171" fontId="0" fillId="0" borderId="42" xfId="0" applyNumberFormat="1" applyFill="1" applyBorder="1" applyAlignment="1" applyProtection="1">
      <alignment horizontal="center"/>
      <protection hidden="1"/>
    </xf>
    <xf numFmtId="171" fontId="0" fillId="31" borderId="42" xfId="0" applyNumberFormat="1" applyFill="1" applyBorder="1" applyAlignment="1" applyProtection="1">
      <alignment horizontal="center"/>
      <protection hidden="1"/>
    </xf>
    <xf numFmtId="171" fontId="0" fillId="32" borderId="42" xfId="0" applyNumberFormat="1" applyFill="1" applyBorder="1" applyAlignment="1" applyProtection="1">
      <alignment horizontal="center"/>
      <protection hidden="1"/>
    </xf>
    <xf numFmtId="171" fontId="0" fillId="35" borderId="42" xfId="0" applyNumberFormat="1" applyFill="1" applyBorder="1" applyAlignment="1" applyProtection="1">
      <alignment horizontal="center"/>
      <protection hidden="1"/>
    </xf>
    <xf numFmtId="171" fontId="0" fillId="22" borderId="42" xfId="0" applyNumberFormat="1" applyFill="1" applyBorder="1" applyAlignment="1" applyProtection="1">
      <alignment horizontal="center"/>
      <protection hidden="1"/>
    </xf>
    <xf numFmtId="171" fontId="0" fillId="34" borderId="42" xfId="0" applyNumberFormat="1" applyFill="1" applyBorder="1" applyAlignment="1" applyProtection="1">
      <alignment horizontal="center"/>
      <protection hidden="1"/>
    </xf>
    <xf numFmtId="171" fontId="0" fillId="12" borderId="42" xfId="0" applyNumberFormat="1" applyFill="1" applyBorder="1" applyAlignment="1" applyProtection="1">
      <alignment horizontal="center"/>
      <protection hidden="1"/>
    </xf>
    <xf numFmtId="171" fontId="0" fillId="26" borderId="42" xfId="0" applyNumberFormat="1" applyFill="1" applyBorder="1" applyAlignment="1" applyProtection="1">
      <alignment horizontal="center"/>
      <protection hidden="1"/>
    </xf>
    <xf numFmtId="171" fontId="0" fillId="22" borderId="43" xfId="0" applyNumberFormat="1" applyFill="1" applyBorder="1" applyAlignment="1" applyProtection="1">
      <alignment horizontal="center"/>
      <protection hidden="1"/>
    </xf>
    <xf numFmtId="0" fontId="0" fillId="9" borderId="36" xfId="0" applyFill="1" applyBorder="1" applyAlignment="1">
      <alignment/>
    </xf>
    <xf numFmtId="0" fontId="1" fillId="0" borderId="0" xfId="0" applyFont="1" applyAlignment="1">
      <alignment/>
    </xf>
    <xf numFmtId="0" fontId="0" fillId="23" borderId="0" xfId="0" applyFill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9" fillId="31" borderId="34" xfId="0" applyFont="1" applyFill="1" applyBorder="1" applyAlignment="1">
      <alignment horizontal="center"/>
    </xf>
    <xf numFmtId="0" fontId="1" fillId="32" borderId="34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9" fillId="22" borderId="34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1" fillId="26" borderId="34" xfId="0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27" borderId="36" xfId="0" applyFill="1" applyBorder="1" applyAlignment="1">
      <alignment/>
    </xf>
    <xf numFmtId="0" fontId="0" fillId="27" borderId="38" xfId="0" applyFill="1" applyBorder="1" applyAlignment="1">
      <alignment/>
    </xf>
    <xf numFmtId="49" fontId="5" fillId="0" borderId="0" xfId="0" applyNumberFormat="1" applyFont="1" applyAlignment="1">
      <alignment horizontal="right"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171" fontId="0" fillId="0" borderId="46" xfId="0" applyNumberFormat="1" applyBorder="1" applyAlignment="1">
      <alignment/>
    </xf>
    <xf numFmtId="171" fontId="0" fillId="0" borderId="47" xfId="0" applyNumberFormat="1" applyBorder="1" applyAlignment="1">
      <alignment/>
    </xf>
    <xf numFmtId="171" fontId="0" fillId="0" borderId="48" xfId="0" applyNumberFormat="1" applyBorder="1" applyAlignment="1">
      <alignment/>
    </xf>
    <xf numFmtId="171" fontId="0" fillId="0" borderId="49" xfId="0" applyNumberFormat="1" applyBorder="1" applyAlignment="1">
      <alignment/>
    </xf>
    <xf numFmtId="0" fontId="0" fillId="0" borderId="50" xfId="0" applyFill="1" applyBorder="1" applyAlignment="1">
      <alignment/>
    </xf>
    <xf numFmtId="0" fontId="0" fillId="0" borderId="50" xfId="0" applyBorder="1" applyAlignment="1">
      <alignment/>
    </xf>
    <xf numFmtId="171" fontId="0" fillId="0" borderId="51" xfId="0" applyNumberFormat="1" applyBorder="1" applyAlignment="1">
      <alignment/>
    </xf>
    <xf numFmtId="171" fontId="0" fillId="0" borderId="52" xfId="0" applyNumberFormat="1" applyBorder="1" applyAlignment="1">
      <alignment/>
    </xf>
    <xf numFmtId="171" fontId="0" fillId="0" borderId="53" xfId="0" applyNumberFormat="1" applyBorder="1" applyAlignment="1">
      <alignment/>
    </xf>
    <xf numFmtId="171" fontId="0" fillId="0" borderId="5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175" fontId="1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171" fontId="0" fillId="0" borderId="0" xfId="0" applyNumberFormat="1" applyFill="1" applyBorder="1" applyAlignment="1">
      <alignment/>
    </xf>
    <xf numFmtId="9" fontId="0" fillId="32" borderId="25" xfId="0" applyNumberFormat="1" applyFont="1" applyFill="1" applyBorder="1" applyAlignment="1" applyProtection="1">
      <alignment horizontal="center"/>
      <protection/>
    </xf>
    <xf numFmtId="0" fontId="0" fillId="27" borderId="55" xfId="0" applyFill="1" applyBorder="1" applyAlignment="1">
      <alignment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22" borderId="27" xfId="0" applyFill="1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31" borderId="27" xfId="0" applyFill="1" applyBorder="1" applyAlignment="1" applyProtection="1">
      <alignment/>
      <protection locked="0"/>
    </xf>
    <xf numFmtId="0" fontId="0" fillId="9" borderId="36" xfId="0" applyFill="1" applyBorder="1" applyAlignment="1">
      <alignment/>
    </xf>
    <xf numFmtId="0" fontId="0" fillId="0" borderId="36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46"/>
  <sheetViews>
    <sheetView tabSelected="1" zoomScalePageLayoutView="0" workbookViewId="0" topLeftCell="A1">
      <selection activeCell="M10" sqref="M10"/>
    </sheetView>
  </sheetViews>
  <sheetFormatPr defaultColWidth="11.421875" defaultRowHeight="12.75"/>
  <cols>
    <col min="1" max="1" width="19.140625" style="0" customWidth="1"/>
    <col min="2" max="2" width="5.28125" style="0" customWidth="1"/>
    <col min="3" max="3" width="10.140625" style="0" customWidth="1"/>
    <col min="4" max="4" width="9.140625" style="0" customWidth="1"/>
    <col min="5" max="5" width="8.7109375" style="0" customWidth="1"/>
    <col min="6" max="7" width="7.421875" style="0" customWidth="1"/>
    <col min="8" max="8" width="5.7109375" style="0" customWidth="1"/>
    <col min="9" max="9" width="5.421875" style="0" customWidth="1"/>
    <col min="10" max="10" width="5.28125" style="0" customWidth="1"/>
    <col min="11" max="12" width="4.7109375" style="0" customWidth="1"/>
  </cols>
  <sheetData>
    <row r="1" spans="1:12" ht="15">
      <c r="A1" s="1" t="s">
        <v>0</v>
      </c>
      <c r="B1" s="2"/>
      <c r="C1" s="3"/>
      <c r="D1" s="3"/>
      <c r="E1" s="4" t="s">
        <v>1</v>
      </c>
      <c r="F1" s="5"/>
      <c r="G1" s="6" t="s">
        <v>2</v>
      </c>
      <c r="H1" s="7" t="s">
        <v>3</v>
      </c>
      <c r="I1" s="8"/>
      <c r="J1" s="9" t="s">
        <v>4</v>
      </c>
      <c r="K1" s="10"/>
      <c r="L1" s="11"/>
    </row>
    <row r="2" spans="1:12" ht="15">
      <c r="A2" s="12" t="s">
        <v>5</v>
      </c>
      <c r="B2" s="13"/>
      <c r="C2" s="14"/>
      <c r="D2" s="15"/>
      <c r="E2" s="16" t="s">
        <v>7</v>
      </c>
      <c r="F2" s="24"/>
      <c r="G2" s="25" t="s">
        <v>8</v>
      </c>
      <c r="H2" s="17" t="s">
        <v>6</v>
      </c>
      <c r="I2" s="18"/>
      <c r="J2" s="19" t="s">
        <v>4</v>
      </c>
      <c r="K2" s="20"/>
      <c r="L2" s="21"/>
    </row>
    <row r="3" spans="1:13" ht="14.25">
      <c r="A3" s="12"/>
      <c r="B3" s="22"/>
      <c r="C3" s="23"/>
      <c r="D3" s="17"/>
      <c r="H3" s="17" t="s">
        <v>9</v>
      </c>
      <c r="I3" s="18"/>
      <c r="J3" s="19" t="s">
        <v>4</v>
      </c>
      <c r="K3" s="19"/>
      <c r="L3" s="26"/>
      <c r="M3" s="27"/>
    </row>
    <row r="4" spans="1:13" ht="14.25">
      <c r="A4" s="28"/>
      <c r="B4" s="29"/>
      <c r="C4" s="30"/>
      <c r="D4" s="31"/>
      <c r="E4" s="32" t="s">
        <v>10</v>
      </c>
      <c r="F4" s="33">
        <f>SQRT(F1*F2/3600)</f>
        <v>0</v>
      </c>
      <c r="G4" s="34" t="s">
        <v>11</v>
      </c>
      <c r="H4" s="31" t="s">
        <v>12</v>
      </c>
      <c r="I4" s="35"/>
      <c r="J4" s="36" t="s">
        <v>4</v>
      </c>
      <c r="K4" s="36"/>
      <c r="L4" s="37"/>
      <c r="M4" s="27"/>
    </row>
    <row r="5" spans="1:13" ht="14.25">
      <c r="A5" s="38"/>
      <c r="B5" s="39" t="s">
        <v>13</v>
      </c>
      <c r="C5" s="39" t="s">
        <v>14</v>
      </c>
      <c r="D5" s="40" t="s">
        <v>15</v>
      </c>
      <c r="E5" s="41" t="s">
        <v>16</v>
      </c>
      <c r="F5" s="42" t="s">
        <v>17</v>
      </c>
      <c r="G5" s="43" t="s">
        <v>18</v>
      </c>
      <c r="H5" s="44" t="s">
        <v>19</v>
      </c>
      <c r="I5" s="45" t="s">
        <v>20</v>
      </c>
      <c r="J5" s="46" t="s">
        <v>21</v>
      </c>
      <c r="K5" s="47" t="s">
        <v>22</v>
      </c>
      <c r="L5" s="48" t="s">
        <v>23</v>
      </c>
      <c r="M5" s="49"/>
    </row>
    <row r="6" spans="1:13" ht="12.75">
      <c r="A6" s="50"/>
      <c r="B6" s="37" t="s">
        <v>24</v>
      </c>
      <c r="C6" s="37" t="s">
        <v>25</v>
      </c>
      <c r="D6" s="51" t="s">
        <v>26</v>
      </c>
      <c r="E6" s="51" t="s">
        <v>27</v>
      </c>
      <c r="F6" s="51" t="s">
        <v>27</v>
      </c>
      <c r="G6" s="51" t="s">
        <v>27</v>
      </c>
      <c r="H6" s="51" t="s">
        <v>28</v>
      </c>
      <c r="I6" s="51" t="s">
        <v>28</v>
      </c>
      <c r="J6" s="51" t="s">
        <v>28</v>
      </c>
      <c r="K6" s="51" t="s">
        <v>28</v>
      </c>
      <c r="L6" s="52" t="s">
        <v>28</v>
      </c>
      <c r="M6" s="27"/>
    </row>
    <row r="7" spans="1:12" ht="12.75">
      <c r="A7" s="199" t="s">
        <v>67</v>
      </c>
      <c r="B7" s="200"/>
      <c r="C7" s="54"/>
      <c r="D7" s="55">
        <f>VLOOKUP(A7,PENLösung,5,FALSE)*(C7/1000)</f>
        <v>0</v>
      </c>
      <c r="E7" s="56">
        <f>VLOOKUP(A7,PENLösung,6,FALSE)*(C7/1000)</f>
        <v>0</v>
      </c>
      <c r="F7" s="57">
        <f>VLOOKUP(A7,PENLösung,7,FALSE)*(C7/1000)</f>
        <v>0</v>
      </c>
      <c r="G7" s="58">
        <f>VLOOKUP(A7,PENLösung,8,FALSE)*(C7/1000)</f>
        <v>0</v>
      </c>
      <c r="H7" s="59">
        <f>VLOOKUP(A7,PENLösung,9,FALSE)*(C7/1000)</f>
        <v>0</v>
      </c>
      <c r="I7" s="59">
        <f>VLOOKUP(A7,PENLösung,10,FALSE)*(C7/1000)</f>
        <v>0</v>
      </c>
      <c r="J7" s="60">
        <f>VLOOKUP(A7,PENLösung,11,FALSE)*(C7/1000)</f>
        <v>0</v>
      </c>
      <c r="K7" s="61">
        <f>VLOOKUP(A7,PENLösung,12,FALSE)*(C7/1000)</f>
        <v>0</v>
      </c>
      <c r="L7" s="62">
        <f>VLOOKUP(A7,PENLösung,13,FALSE)*(C7/1000)</f>
        <v>0</v>
      </c>
    </row>
    <row r="8" spans="1:13" ht="12.75">
      <c r="A8" s="63" t="str">
        <f ca="1">IF(((DAYS360(B2,TODAY()))/30)&gt;24,"Aminoven 10%","Aminoven infant 10%")</f>
        <v>Aminoven 10%</v>
      </c>
      <c r="B8" s="64">
        <v>10</v>
      </c>
      <c r="C8" s="65"/>
      <c r="D8" s="58">
        <f>C8*0.4</f>
        <v>0</v>
      </c>
      <c r="E8" s="66"/>
      <c r="F8" s="58"/>
      <c r="G8" s="58">
        <f>C8*0.1</f>
        <v>0</v>
      </c>
      <c r="H8" s="55"/>
      <c r="I8" s="55"/>
      <c r="J8" s="55"/>
      <c r="K8" s="55"/>
      <c r="L8" s="67"/>
      <c r="M8" s="27"/>
    </row>
    <row r="9" spans="1:13" ht="12.75">
      <c r="A9" s="68" t="s">
        <v>68</v>
      </c>
      <c r="B9" s="197"/>
      <c r="C9" s="69"/>
      <c r="D9" s="57">
        <f>C9*20*0.1</f>
        <v>0</v>
      </c>
      <c r="E9" s="70"/>
      <c r="F9" s="57">
        <f>C9*20/100</f>
        <v>0</v>
      </c>
      <c r="G9" s="58"/>
      <c r="H9" s="55"/>
      <c r="I9" s="55"/>
      <c r="J9" s="55"/>
      <c r="K9" s="55"/>
      <c r="L9" s="67"/>
      <c r="M9" s="27"/>
    </row>
    <row r="10" spans="1:13" ht="12.75">
      <c r="A10" s="71" t="s">
        <v>29</v>
      </c>
      <c r="B10" s="72">
        <v>40</v>
      </c>
      <c r="C10" s="73"/>
      <c r="D10" s="56">
        <f>C10*B10*0.034</f>
        <v>0</v>
      </c>
      <c r="E10" s="56">
        <f>C10*B10/100</f>
        <v>0</v>
      </c>
      <c r="F10" s="57"/>
      <c r="G10" s="58"/>
      <c r="H10" s="55"/>
      <c r="I10" s="55"/>
      <c r="J10" s="55"/>
      <c r="K10" s="55"/>
      <c r="L10" s="67"/>
      <c r="M10" s="27"/>
    </row>
    <row r="11" spans="1:13" ht="12.75">
      <c r="A11" s="203" t="s">
        <v>69</v>
      </c>
      <c r="B11" s="202"/>
      <c r="C11" s="73"/>
      <c r="D11" s="56">
        <f>VLOOKUP(A11,Grundinfusion,4,FALSE)*(C11/1000)</f>
        <v>0</v>
      </c>
      <c r="E11" s="56">
        <f>VLOOKUP(A11,Grundinfusion,5,FALSE)*(C11/1000)</f>
        <v>0</v>
      </c>
      <c r="F11" s="57">
        <f>VLOOKUP(A11,Grundinfusion,6,FALSE)*(C11/1000)</f>
        <v>0</v>
      </c>
      <c r="G11" s="58">
        <f>VLOOKUP(A11,Grundinfusion,7,FALSE)*(C11/1000)</f>
        <v>0</v>
      </c>
      <c r="H11" s="74">
        <f>VLOOKUP(A11,Grundinfusion,8,FALSE)*(C11/1000)</f>
        <v>0</v>
      </c>
      <c r="I11" s="55">
        <f>VLOOKUP(A11,Grundinfusion,9,FALSE)*(C11/1000)</f>
        <v>0</v>
      </c>
      <c r="J11" s="55">
        <f>VLOOKUP(A11,Grundinfusion,10,FALSE)*(C11/1000)</f>
        <v>0</v>
      </c>
      <c r="K11" s="55">
        <f>VLOOKUP(A11,Grundinfusion,11,FALSE)*(C11/1000)</f>
        <v>0</v>
      </c>
      <c r="L11" s="67">
        <f>VLOOKUP(A12,Grundinfusion,12,FALSE)*(C11/1000)</f>
        <v>0</v>
      </c>
      <c r="M11" s="27"/>
    </row>
    <row r="12" spans="1:13" ht="12.75">
      <c r="A12" s="201" t="s">
        <v>55</v>
      </c>
      <c r="B12" s="202"/>
      <c r="C12" s="75"/>
      <c r="D12" s="74">
        <f>VLOOKUP(A12,Grundinfusion,4,FALSE)*(C12/1000)</f>
        <v>0</v>
      </c>
      <c r="E12" s="56">
        <f>VLOOKUP(A12,Grundinfusion,5,FALSE)*(C12/1000)</f>
        <v>0</v>
      </c>
      <c r="F12" s="57">
        <f>VLOOKUP(A12,Grundinfusion,6,FALSE)*(C12/1000)</f>
        <v>0</v>
      </c>
      <c r="G12" s="58">
        <f>VLOOKUP(A12,Grundinfusion,7,FALSE)*(C12/1000)</f>
        <v>0</v>
      </c>
      <c r="H12" s="74">
        <f>VLOOKUP(A12,Grundinfusion,8,FALSE)*(C12/1000)</f>
        <v>0</v>
      </c>
      <c r="I12" s="55">
        <f>VLOOKUP(A12,Grundinfusion,9,FALSE)*(C12/1000)</f>
        <v>0</v>
      </c>
      <c r="J12" s="55">
        <f>VLOOKUP(A12,Grundinfusion,10,FALSE)*(C12/1000)</f>
        <v>0</v>
      </c>
      <c r="K12" s="55">
        <f>VLOOKUP(A12,Grundinfusion,11,FALSE)*(C12/1000)</f>
        <v>0</v>
      </c>
      <c r="L12" s="67">
        <f>VLOOKUP(A12,Grundinfusion,12,FALSE)*(C12/1000)</f>
        <v>0</v>
      </c>
      <c r="M12" s="27"/>
    </row>
    <row r="13" spans="1:13" ht="12.75">
      <c r="A13" s="76" t="s">
        <v>30</v>
      </c>
      <c r="B13" s="77"/>
      <c r="C13" s="78">
        <v>0</v>
      </c>
      <c r="D13" s="59"/>
      <c r="E13" s="56"/>
      <c r="F13" s="57"/>
      <c r="G13" s="58"/>
      <c r="H13" s="59">
        <f>C13*2</f>
        <v>0</v>
      </c>
      <c r="I13" s="74"/>
      <c r="J13" s="74"/>
      <c r="K13" s="74"/>
      <c r="L13" s="79">
        <f>C13</f>
        <v>0</v>
      </c>
      <c r="M13" s="80"/>
    </row>
    <row r="14" spans="1:13" ht="12.75">
      <c r="A14" s="76" t="s">
        <v>31</v>
      </c>
      <c r="B14" s="77"/>
      <c r="C14" s="78">
        <v>0</v>
      </c>
      <c r="D14" s="59"/>
      <c r="E14" s="56"/>
      <c r="F14" s="57"/>
      <c r="G14" s="58"/>
      <c r="H14" s="59">
        <f>C14*4</f>
        <v>0</v>
      </c>
      <c r="I14" s="55"/>
      <c r="J14" s="55"/>
      <c r="K14" s="55"/>
      <c r="L14" s="79"/>
      <c r="M14" s="81"/>
    </row>
    <row r="15" spans="1:12" ht="12.75">
      <c r="A15" s="82" t="s">
        <v>32</v>
      </c>
      <c r="B15" s="83"/>
      <c r="C15" s="84"/>
      <c r="D15" s="85"/>
      <c r="E15" s="56"/>
      <c r="F15" s="57"/>
      <c r="G15" s="58"/>
      <c r="H15" s="59"/>
      <c r="I15" s="85">
        <f>C15*2</f>
        <v>0</v>
      </c>
      <c r="J15" s="55"/>
      <c r="K15" s="55"/>
      <c r="L15" s="79"/>
    </row>
    <row r="16" spans="1:12" ht="12.75">
      <c r="A16" s="86" t="s">
        <v>54</v>
      </c>
      <c r="B16" s="87"/>
      <c r="C16" s="88"/>
      <c r="D16" s="60"/>
      <c r="E16" s="56"/>
      <c r="F16" s="57"/>
      <c r="G16" s="58"/>
      <c r="H16" s="59"/>
      <c r="I16" s="85"/>
      <c r="J16" s="60">
        <f>C16*0.405</f>
        <v>0</v>
      </c>
      <c r="K16" s="55"/>
      <c r="L16" s="79"/>
    </row>
    <row r="17" spans="1:12" ht="12.75">
      <c r="A17" s="89" t="s">
        <v>33</v>
      </c>
      <c r="B17" s="90"/>
      <c r="C17" s="91"/>
      <c r="D17" s="61"/>
      <c r="E17" s="56"/>
      <c r="F17" s="57"/>
      <c r="G17" s="58"/>
      <c r="H17" s="59"/>
      <c r="I17" s="85"/>
      <c r="J17" s="60"/>
      <c r="K17" s="61">
        <f>C17*0.22</f>
        <v>0</v>
      </c>
      <c r="L17" s="79"/>
    </row>
    <row r="18" spans="1:12" ht="12.75">
      <c r="A18" s="53" t="str">
        <f ca="1">IF(TODAY()-B2&gt;4400,"Vitalipid adult N","Vitalipid infant")</f>
        <v>Vitalipid adult N</v>
      </c>
      <c r="B18" s="92"/>
      <c r="C18" s="54"/>
      <c r="D18" s="55"/>
      <c r="E18" s="56"/>
      <c r="F18" s="57"/>
      <c r="G18" s="58"/>
      <c r="H18" s="59"/>
      <c r="I18" s="85"/>
      <c r="J18" s="60"/>
      <c r="K18" s="61"/>
      <c r="L18" s="79"/>
    </row>
    <row r="19" spans="1:12" ht="12.75">
      <c r="A19" s="53" t="str">
        <f>IF(F1&gt;25,"Adamel adult N","Peditrace")</f>
        <v>Peditrace</v>
      </c>
      <c r="B19" s="92"/>
      <c r="C19" s="54"/>
      <c r="D19" s="55"/>
      <c r="E19" s="56"/>
      <c r="F19" s="57"/>
      <c r="G19" s="58"/>
      <c r="H19" s="59"/>
      <c r="I19" s="85"/>
      <c r="J19" s="60"/>
      <c r="K19" s="61"/>
      <c r="L19" s="79"/>
    </row>
    <row r="20" spans="1:12" ht="12.75">
      <c r="A20" s="53" t="s">
        <v>40</v>
      </c>
      <c r="B20" s="92"/>
      <c r="C20" s="54"/>
      <c r="D20" s="55"/>
      <c r="E20" s="56"/>
      <c r="F20" s="57"/>
      <c r="G20" s="58"/>
      <c r="H20" s="59"/>
      <c r="I20" s="85"/>
      <c r="J20" s="60"/>
      <c r="K20" s="61"/>
      <c r="L20" s="79"/>
    </row>
    <row r="21" spans="1:12" ht="13.5" thickBot="1">
      <c r="A21" s="136" t="s">
        <v>34</v>
      </c>
      <c r="B21" s="26"/>
      <c r="C21" s="137"/>
      <c r="D21" s="138"/>
      <c r="E21" s="139"/>
      <c r="F21" s="140"/>
      <c r="G21" s="141"/>
      <c r="H21" s="142"/>
      <c r="I21" s="143"/>
      <c r="J21" s="144"/>
      <c r="K21" s="145"/>
      <c r="L21" s="146"/>
    </row>
    <row r="22" spans="1:14" ht="12.75">
      <c r="A22" s="177" t="s">
        <v>51</v>
      </c>
      <c r="B22" s="178"/>
      <c r="C22" s="179">
        <f aca="true" t="shared" si="0" ref="C22:L22">SUM(C7:C21)</f>
        <v>0</v>
      </c>
      <c r="D22" s="180">
        <f t="shared" si="0"/>
        <v>0</v>
      </c>
      <c r="E22" s="181">
        <f t="shared" si="0"/>
        <v>0</v>
      </c>
      <c r="F22" s="181">
        <f t="shared" si="0"/>
        <v>0</v>
      </c>
      <c r="G22" s="181">
        <f t="shared" si="0"/>
        <v>0</v>
      </c>
      <c r="H22" s="181">
        <f t="shared" si="0"/>
        <v>0</v>
      </c>
      <c r="I22" s="181">
        <f t="shared" si="0"/>
        <v>0</v>
      </c>
      <c r="J22" s="181">
        <f t="shared" si="0"/>
        <v>0</v>
      </c>
      <c r="K22" s="181">
        <f t="shared" si="0"/>
        <v>0</v>
      </c>
      <c r="L22" s="182">
        <f t="shared" si="0"/>
        <v>0</v>
      </c>
      <c r="N22" s="196"/>
    </row>
    <row r="23" spans="1:12" ht="13.5" thickBot="1">
      <c r="A23" s="183" t="s">
        <v>59</v>
      </c>
      <c r="B23" s="184"/>
      <c r="C23" s="185" t="e">
        <f>C22/F1</f>
        <v>#DIV/0!</v>
      </c>
      <c r="D23" s="186" t="e">
        <f>D22/F1</f>
        <v>#DIV/0!</v>
      </c>
      <c r="E23" s="187" t="e">
        <f>E22/F1</f>
        <v>#DIV/0!</v>
      </c>
      <c r="F23" s="187" t="e">
        <f>F22/F1</f>
        <v>#DIV/0!</v>
      </c>
      <c r="G23" s="187" t="e">
        <f>G22/F1</f>
        <v>#DIV/0!</v>
      </c>
      <c r="H23" s="187" t="e">
        <f>H22/F1</f>
        <v>#DIV/0!</v>
      </c>
      <c r="I23" s="187" t="e">
        <f>I22/F1</f>
        <v>#DIV/0!</v>
      </c>
      <c r="J23" s="187" t="e">
        <f>J22/F1</f>
        <v>#DIV/0!</v>
      </c>
      <c r="K23" s="187" t="e">
        <f>K22/F1</f>
        <v>#DIV/0!</v>
      </c>
      <c r="L23" s="188" t="e">
        <f>L22/F1</f>
        <v>#DIV/0!</v>
      </c>
    </row>
    <row r="24" spans="1:12" ht="12.75">
      <c r="A24" s="106" t="s">
        <v>36</v>
      </c>
      <c r="B24" s="81"/>
      <c r="C24" s="107" t="str">
        <f ca="1">IF(TODAY()-B2&gt;4400,"50-70",IF(TODAY()-B2&lt;360,"120-150(180)",IF(TODAY()-B2&gt;2190,"60-80",IF(TODAY()-B2&lt;720,"80-120(150)","80-100"))))</f>
        <v>50-70</v>
      </c>
      <c r="D24" s="107" t="str">
        <f ca="1">IF(TODAY()-B2&gt;4000,"30-60",IF(TODAY()-B2&lt;360,"90-100",IF(TODAY()-B2&lt;2200,"75-90","60-75")))</f>
        <v>30-60</v>
      </c>
      <c r="E24" s="127" t="str">
        <f>IF(F1&gt;30,"&lt;10",IF(F1&lt;10,"16-18",IF(F1&gt;20,"&lt;12",IF(F1&lt;15,"12-14","10-12"))))</f>
        <v>16-18</v>
      </c>
      <c r="F24" s="127" t="str">
        <f ca="1">IF(TODAY()-B2&gt;720,"2-3","3-4")</f>
        <v>2-3</v>
      </c>
      <c r="G24" s="127" t="str">
        <f ca="1">IF(TODAY()-B2&gt;720,"1.0-2.0",IF(TODAY()-B2&lt;31,"1.5-3.0","1.0-2.5"))</f>
        <v>1.0-2.0</v>
      </c>
      <c r="H24" s="127" t="str">
        <f>IF(F1&lt;10.1,"2-3",IF(F1&gt;25,"1-3","2-3"))</f>
        <v>2-3</v>
      </c>
      <c r="I24" s="108" t="s">
        <v>37</v>
      </c>
      <c r="J24" s="127" t="str">
        <f ca="1">IF(TODAY()-B2&gt;360,"0.1","0.2")</f>
        <v>0.1</v>
      </c>
      <c r="K24" s="127" t="str">
        <f ca="1">IF(TODAY()-B2&gt;360,"0.2",IF(TODAY()-B2&lt;180,"0.8","0.5"))</f>
        <v>0.2</v>
      </c>
      <c r="L24" s="127" t="str">
        <f ca="1">IF(TODAY()-B2&gt;360,"0.2","0.5")</f>
        <v>0.2</v>
      </c>
    </row>
    <row r="25" spans="1:12" ht="12.75">
      <c r="A25" s="189"/>
      <c r="B25" s="190"/>
      <c r="C25" s="191"/>
      <c r="D25" s="191"/>
      <c r="E25" s="192" t="e">
        <f>E23*1000/24/60</f>
        <v>#DIV/0!</v>
      </c>
      <c r="F25" s="193" t="s">
        <v>38</v>
      </c>
      <c r="G25" s="191"/>
      <c r="H25" s="191"/>
      <c r="I25" s="176" t="s">
        <v>58</v>
      </c>
      <c r="J25" s="126" t="e">
        <f>IF(L23=0,"-",K23/L23)</f>
        <v>#DIV/0!</v>
      </c>
      <c r="K25" s="125" t="s">
        <v>41</v>
      </c>
      <c r="L25" s="191"/>
    </row>
    <row r="26" spans="1:12" ht="13.5" customHeight="1" thickBo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</row>
    <row r="27" spans="1:12" ht="13.5" thickBot="1">
      <c r="A27" s="148" t="s">
        <v>49</v>
      </c>
      <c r="B27" s="149"/>
      <c r="C27" s="150"/>
      <c r="D27" s="151">
        <f>VLOOKUP(A27,[0]!Milchtabelle,4,FALSE)*(PEN!C27/100)</f>
        <v>0</v>
      </c>
      <c r="E27" s="152">
        <f>VLOOKUP(A27,[0]!Milchtabelle,5,FALSE)*(PEN!C27/100)</f>
        <v>0</v>
      </c>
      <c r="F27" s="153">
        <f>VLOOKUP(A27,[0]!Milchtabelle,6,FALSE)*(PEN!C27/100)</f>
        <v>0</v>
      </c>
      <c r="G27" s="154">
        <f>VLOOKUP(A27,[0]!Milchtabelle,7,FALSE)*(PEN!C27/100)</f>
        <v>0</v>
      </c>
      <c r="H27" s="155">
        <f>VLOOKUP(A27,[0]!Milchtabelle,8,FALSE)*(PEN!C27/100)</f>
        <v>0</v>
      </c>
      <c r="I27" s="156">
        <f>VLOOKUP(A27,[0]!Milchtabelle,9,FALSE)*(PEN!C27/100)</f>
        <v>0</v>
      </c>
      <c r="J27" s="157">
        <f>VLOOKUP(A27,[0]!Milchtabelle,10,FALSE)*(PEN!C27/100)</f>
        <v>0</v>
      </c>
      <c r="K27" s="158">
        <f>VLOOKUP(A27,[0]!Milchtabelle,11,FALSE)*(PEN!C27/100)</f>
        <v>0</v>
      </c>
      <c r="L27" s="159">
        <f>VLOOKUP(A27,[0]!Milchtabelle,12,FALSE)*(PEN!C27/100)</f>
        <v>0</v>
      </c>
    </row>
    <row r="28" spans="1:14" ht="5.25" customHeight="1" thickBo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N28" s="124"/>
    </row>
    <row r="29" spans="1:14" ht="12.75">
      <c r="A29" s="53" t="s">
        <v>35</v>
      </c>
      <c r="B29" s="92"/>
      <c r="C29" s="93">
        <f aca="true" t="shared" si="1" ref="C29:L29">SUM(C22,C27)</f>
        <v>0</v>
      </c>
      <c r="D29" s="55">
        <f t="shared" si="1"/>
        <v>0</v>
      </c>
      <c r="E29" s="56">
        <f t="shared" si="1"/>
        <v>0</v>
      </c>
      <c r="F29" s="57">
        <f t="shared" si="1"/>
        <v>0</v>
      </c>
      <c r="G29" s="58">
        <f t="shared" si="1"/>
        <v>0</v>
      </c>
      <c r="H29" s="59">
        <f t="shared" si="1"/>
        <v>0</v>
      </c>
      <c r="I29" s="85">
        <f t="shared" si="1"/>
        <v>0</v>
      </c>
      <c r="J29" s="60">
        <f t="shared" si="1"/>
        <v>0</v>
      </c>
      <c r="K29" s="61">
        <f t="shared" si="1"/>
        <v>0</v>
      </c>
      <c r="L29" s="79">
        <f t="shared" si="1"/>
        <v>0</v>
      </c>
      <c r="N29" s="124"/>
    </row>
    <row r="30" spans="1:12" ht="13.5" thickBot="1">
      <c r="A30" s="94" t="s">
        <v>60</v>
      </c>
      <c r="B30" s="95"/>
      <c r="C30" s="96" t="e">
        <f>C29/($F$1)</f>
        <v>#DIV/0!</v>
      </c>
      <c r="D30" s="97" t="e">
        <f aca="true" t="shared" si="2" ref="D30:L30">D29/$F$1</f>
        <v>#DIV/0!</v>
      </c>
      <c r="E30" s="98" t="e">
        <f t="shared" si="2"/>
        <v>#DIV/0!</v>
      </c>
      <c r="F30" s="99" t="e">
        <f t="shared" si="2"/>
        <v>#DIV/0!</v>
      </c>
      <c r="G30" s="100" t="e">
        <f t="shared" si="2"/>
        <v>#DIV/0!</v>
      </c>
      <c r="H30" s="101" t="e">
        <f t="shared" si="2"/>
        <v>#DIV/0!</v>
      </c>
      <c r="I30" s="102" t="e">
        <f t="shared" si="2"/>
        <v>#DIV/0!</v>
      </c>
      <c r="J30" s="103" t="e">
        <f t="shared" si="2"/>
        <v>#DIV/0!</v>
      </c>
      <c r="K30" s="104" t="e">
        <f t="shared" si="2"/>
        <v>#DIV/0!</v>
      </c>
      <c r="L30" s="105" t="e">
        <f t="shared" si="2"/>
        <v>#DIV/0!</v>
      </c>
    </row>
    <row r="31" spans="1:2" ht="12.75">
      <c r="A31" s="106"/>
      <c r="B31" s="81"/>
    </row>
    <row r="32" spans="1:12" ht="12.75">
      <c r="A32" s="106"/>
      <c r="B32" s="81"/>
      <c r="C32" s="109"/>
      <c r="D32" s="109"/>
      <c r="G32" s="110"/>
      <c r="H32" s="108"/>
      <c r="L32" s="108"/>
    </row>
    <row r="33" spans="1:12" ht="12.75">
      <c r="A33" s="111" t="s">
        <v>39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</row>
    <row r="34" spans="1:12" ht="12.75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6"/>
    </row>
    <row r="35" spans="1:12" ht="12.75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6"/>
    </row>
    <row r="36" spans="1:12" ht="12.75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6"/>
    </row>
    <row r="37" spans="1:12" ht="12.75">
      <c r="A37" s="117"/>
      <c r="B37" s="115"/>
      <c r="C37" s="115"/>
      <c r="D37" s="118"/>
      <c r="E37" s="115"/>
      <c r="F37" s="115"/>
      <c r="G37" s="115"/>
      <c r="H37" s="115"/>
      <c r="I37" s="115"/>
      <c r="J37" s="115"/>
      <c r="K37" s="115"/>
      <c r="L37" s="116"/>
    </row>
    <row r="38" spans="1:12" ht="12.75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6"/>
    </row>
    <row r="39" spans="1:12" ht="12.75">
      <c r="A39" s="114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6"/>
    </row>
    <row r="40" spans="1:12" ht="12.75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6"/>
    </row>
    <row r="41" spans="1:12" ht="12.75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6"/>
    </row>
    <row r="42" spans="1:12" ht="12.75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1"/>
    </row>
    <row r="43" spans="1:12" ht="12.75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</row>
    <row r="44" spans="1:12" ht="12.75">
      <c r="A44" s="122"/>
      <c r="B44" s="123"/>
      <c r="C44" s="123"/>
      <c r="D44" s="123"/>
      <c r="E44" s="123"/>
      <c r="F44" s="123" t="s">
        <v>62</v>
      </c>
      <c r="G44" s="115"/>
      <c r="H44" s="115"/>
      <c r="I44" s="115"/>
      <c r="J44" s="115"/>
      <c r="K44" s="115"/>
      <c r="L44" s="115"/>
    </row>
    <row r="45" spans="1:12" ht="12.75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</row>
    <row r="46" spans="6:12" ht="12.75">
      <c r="F46" t="s">
        <v>63</v>
      </c>
      <c r="G46" s="195"/>
      <c r="H46" s="195"/>
      <c r="I46" s="195"/>
      <c r="J46" s="195"/>
      <c r="K46" s="195"/>
      <c r="L46" s="195"/>
    </row>
  </sheetData>
  <sheetProtection/>
  <mergeCells count="3">
    <mergeCell ref="A7:B7"/>
    <mergeCell ref="A12:B12"/>
    <mergeCell ref="A11:B11"/>
  </mergeCells>
  <dataValidations count="9">
    <dataValidation type="list" allowBlank="1" showInputMessage="1" showErrorMessage="1" sqref="A27">
      <formula1>"Muttermilch,Formulamilch 14%,Pregomin,Frebini original,Fresubin original,Preg. AS/Neocate"</formula1>
    </dataValidation>
    <dataValidation type="decimal" allowBlank="1" showInputMessage="1" showErrorMessage="1" errorTitle="Falsche Vorlage !" error="Diese Vorlage ist für ein Körpergewicht zwischen 2.5 und 60 kg definiert. Andere Daten werden nicht akzeptiert !" sqref="F1">
      <formula1>2.5</formula1>
      <formula2>60</formula2>
    </dataValidation>
    <dataValidation type="list" allowBlank="1" showInputMessage="1" showErrorMessage="1" sqref="A11:B12">
      <formula1>GrundinfusionName</formula1>
    </dataValidation>
    <dataValidation type="whole" operator="lessThanOrEqual" allowBlank="1" showInputMessage="1" showErrorMessage="1" errorTitle="Dosis zu hoch" error="max. Dosis liegt bei 10ml" sqref="C18">
      <formula1>10</formula1>
    </dataValidation>
    <dataValidation type="whole" operator="lessThanOrEqual" allowBlank="1" showInputMessage="1" showErrorMessage="1" errorTitle="Dosis zu hoch" error="Die maximale Dosis beträgt 10ml" sqref="C19 C20">
      <formula1>10</formula1>
    </dataValidation>
    <dataValidation type="custom" allowBlank="1" showInputMessage="1" showErrorMessage="1" errorTitle="Kind zu jung" error="Diese Vorlage ist nicht für Neugeborene !" sqref="B2">
      <formula1>TODAY()-B2&gt;28</formula1>
    </dataValidation>
    <dataValidation type="custom" allowBlank="1" showInputMessage="1" showErrorMessage="1" errorTitle="Ca zu hoch" error="Pro 1000ml PEN-Lösung darf maximal 10mmol Ca beigegeben werden" sqref="C17">
      <formula1>C17&lt;(PEN!#REF!/22)</formula1>
    </dataValidation>
    <dataValidation type="custom" allowBlank="1" showInputMessage="1" showErrorMessage="1" errorTitle=" Mg zu hoch" error="Zugabe von Mg maximal 5mmol/1000ml PEN" sqref="C16">
      <formula1>(C16*0.405)&lt;(PEN!#REF!/(200))</formula1>
    </dataValidation>
    <dataValidation type="list" allowBlank="1" showInputMessage="1" showErrorMessage="1" sqref="A7:B7">
      <formula1>"Nutriflex basal 1000ml,StruktoKabiven peripher,SmofKabiven 986 ml,StruktoKabiven EF ohne E'lyte"</formula1>
    </dataValidation>
  </dataValidations>
  <printOptions/>
  <pageMargins left="0.6299212598425197" right="0.4724409448818898" top="0.984251968503937" bottom="0.984251968503937" header="0.5118110236220472" footer="0.5118110236220472"/>
  <pageSetup horizontalDpi="600" verticalDpi="600" orientation="portrait" paperSize="9"/>
  <headerFooter alignWithMargins="0">
    <oddHeader>&amp;LKinderspital Luzern
Pädiatrie&amp;C&amp;14Parenterale Ernährung Säuglinge (ab 2.5kg) 
bis Kinder (max. 60kg) &amp;RDatum: &amp;D</oddHeader>
    <oddFooter>&amp;C&amp;F&amp;R8/11 Hitzler/Spalinger
</oddFooter>
  </headerFooter>
  <ignoredErrors>
    <ignoredError sqref="E24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6">
      <selection activeCell="C44" sqref="C44"/>
    </sheetView>
  </sheetViews>
  <sheetFormatPr defaultColWidth="11.421875" defaultRowHeight="12.75"/>
  <cols>
    <col min="1" max="1" width="16.140625" style="0" customWidth="1"/>
    <col min="2" max="2" width="5.00390625" style="0" customWidth="1"/>
    <col min="3" max="3" width="7.57421875" style="0" customWidth="1"/>
    <col min="4" max="4" width="8.140625" style="0" customWidth="1"/>
    <col min="5" max="5" width="7.00390625" style="0" customWidth="1"/>
    <col min="6" max="6" width="6.57421875" style="0" customWidth="1"/>
    <col min="7" max="7" width="7.7109375" style="0" customWidth="1"/>
    <col min="8" max="8" width="6.00390625" style="0" customWidth="1"/>
    <col min="9" max="9" width="6.28125" style="0" customWidth="1"/>
    <col min="10" max="13" width="5.8515625" style="0" customWidth="1"/>
  </cols>
  <sheetData>
    <row r="1" spans="1:12" ht="14.25">
      <c r="A1" s="38" t="s">
        <v>42</v>
      </c>
      <c r="B1" s="39" t="s">
        <v>13</v>
      </c>
      <c r="C1" s="39" t="s">
        <v>14</v>
      </c>
      <c r="D1" s="40" t="s">
        <v>15</v>
      </c>
      <c r="E1" s="41" t="s">
        <v>16</v>
      </c>
      <c r="F1" s="42" t="s">
        <v>17</v>
      </c>
      <c r="G1" s="43" t="s">
        <v>18</v>
      </c>
      <c r="H1" s="44" t="s">
        <v>19</v>
      </c>
      <c r="I1" s="45" t="s">
        <v>20</v>
      </c>
      <c r="J1" s="46" t="s">
        <v>21</v>
      </c>
      <c r="K1" s="47" t="s">
        <v>22</v>
      </c>
      <c r="L1" s="48" t="s">
        <v>23</v>
      </c>
    </row>
    <row r="2" spans="4:12" ht="12.75">
      <c r="D2" t="s">
        <v>48</v>
      </c>
      <c r="E2" t="s">
        <v>48</v>
      </c>
      <c r="F2" t="s">
        <v>48</v>
      </c>
      <c r="G2" t="s">
        <v>48</v>
      </c>
      <c r="H2" t="s">
        <v>28</v>
      </c>
      <c r="I2" t="s">
        <v>28</v>
      </c>
      <c r="J2" t="s">
        <v>28</v>
      </c>
      <c r="K2" t="s">
        <v>28</v>
      </c>
      <c r="L2" t="s">
        <v>28</v>
      </c>
    </row>
    <row r="3" spans="1:12" ht="12.75">
      <c r="A3" s="128" t="s">
        <v>46</v>
      </c>
      <c r="B3" s="129"/>
      <c r="C3" s="129"/>
      <c r="D3" s="129">
        <v>70</v>
      </c>
      <c r="E3" s="129">
        <v>7.7</v>
      </c>
      <c r="F3" s="129">
        <v>3.6</v>
      </c>
      <c r="G3" s="129">
        <v>1.7</v>
      </c>
      <c r="H3" s="129">
        <v>0.7</v>
      </c>
      <c r="I3" s="129">
        <v>1.3</v>
      </c>
      <c r="J3" s="129">
        <v>0.1</v>
      </c>
      <c r="K3" s="129">
        <v>0.8</v>
      </c>
      <c r="L3" s="130">
        <v>0.5</v>
      </c>
    </row>
    <row r="4" spans="1:12" ht="12.75">
      <c r="A4" s="131" t="s">
        <v>47</v>
      </c>
      <c r="B4" s="132"/>
      <c r="C4" s="132"/>
      <c r="D4" s="132">
        <v>70</v>
      </c>
      <c r="E4" s="132">
        <v>7.3</v>
      </c>
      <c r="F4" s="132">
        <v>3.6</v>
      </c>
      <c r="G4" s="132">
        <v>1.4</v>
      </c>
      <c r="H4" s="132">
        <v>1.3</v>
      </c>
      <c r="I4" s="132">
        <v>1.8</v>
      </c>
      <c r="J4" s="132">
        <v>0.2</v>
      </c>
      <c r="K4" s="132">
        <v>1.2</v>
      </c>
      <c r="L4" s="133">
        <v>0.9</v>
      </c>
    </row>
    <row r="5" spans="1:12" ht="12.75">
      <c r="A5" s="131" t="s">
        <v>49</v>
      </c>
      <c r="B5" s="132"/>
      <c r="C5" s="132"/>
      <c r="D5" s="132">
        <v>100</v>
      </c>
      <c r="E5" s="132">
        <v>12.5</v>
      </c>
      <c r="F5" s="132">
        <v>4.4</v>
      </c>
      <c r="G5" s="132">
        <v>2.5</v>
      </c>
      <c r="H5" s="132">
        <v>2.2</v>
      </c>
      <c r="I5" s="132">
        <v>2.6</v>
      </c>
      <c r="J5" s="132">
        <v>0.4</v>
      </c>
      <c r="K5" s="132">
        <v>1.5</v>
      </c>
      <c r="L5" s="133">
        <v>1.6</v>
      </c>
    </row>
    <row r="6" spans="1:12" ht="12.75">
      <c r="A6" s="131" t="s">
        <v>50</v>
      </c>
      <c r="B6" s="132"/>
      <c r="C6" s="132"/>
      <c r="D6" s="132">
        <v>100</v>
      </c>
      <c r="E6" s="132">
        <v>13.8</v>
      </c>
      <c r="F6" s="132">
        <v>3.4</v>
      </c>
      <c r="G6" s="132">
        <v>3.8</v>
      </c>
      <c r="H6" s="132">
        <v>3.3</v>
      </c>
      <c r="I6" s="132">
        <v>3.2</v>
      </c>
      <c r="J6" s="132">
        <v>1</v>
      </c>
      <c r="K6" s="132">
        <v>2</v>
      </c>
      <c r="L6" s="133">
        <v>2</v>
      </c>
    </row>
    <row r="7" spans="1:12" ht="12.75">
      <c r="A7" s="131" t="s">
        <v>43</v>
      </c>
      <c r="B7" s="132"/>
      <c r="C7" s="132"/>
      <c r="D7" s="132">
        <v>75</v>
      </c>
      <c r="E7" s="132">
        <v>8.6</v>
      </c>
      <c r="F7" s="132">
        <v>3.6</v>
      </c>
      <c r="G7" s="132">
        <v>2</v>
      </c>
      <c r="H7" s="132">
        <v>1.3</v>
      </c>
      <c r="I7" s="132">
        <v>2</v>
      </c>
      <c r="J7" s="132">
        <v>0.25</v>
      </c>
      <c r="K7" s="132">
        <v>1.6</v>
      </c>
      <c r="L7" s="133">
        <v>1.2</v>
      </c>
    </row>
    <row r="8" spans="1:12" ht="12.75">
      <c r="A8" s="131" t="s">
        <v>44</v>
      </c>
      <c r="B8" s="132"/>
      <c r="C8" s="132"/>
      <c r="D8" s="132">
        <v>74</v>
      </c>
      <c r="E8" s="132">
        <v>8.6</v>
      </c>
      <c r="F8" s="132">
        <v>3.5</v>
      </c>
      <c r="G8" s="132">
        <v>2</v>
      </c>
      <c r="H8" s="132">
        <v>1.43</v>
      </c>
      <c r="I8" s="132">
        <v>2.4</v>
      </c>
      <c r="J8" s="132">
        <v>0.25</v>
      </c>
      <c r="K8" s="132">
        <v>1.6</v>
      </c>
      <c r="L8" s="133">
        <v>1.1</v>
      </c>
    </row>
    <row r="9" spans="1:12" ht="12.75">
      <c r="A9" s="131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ht="12.75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3"/>
    </row>
    <row r="11" spans="1:12" ht="12.75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3"/>
    </row>
    <row r="12" spans="1:12" ht="12.75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3"/>
    </row>
    <row r="13" spans="1:12" ht="12.75">
      <c r="A13" s="162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5"/>
    </row>
    <row r="14" ht="12.75">
      <c r="A14" t="s">
        <v>45</v>
      </c>
    </row>
    <row r="18" spans="1:14" ht="14.25">
      <c r="A18" s="38" t="s">
        <v>42</v>
      </c>
      <c r="C18" s="39" t="s">
        <v>13</v>
      </c>
      <c r="D18" s="39" t="s">
        <v>14</v>
      </c>
      <c r="E18" s="40" t="s">
        <v>15</v>
      </c>
      <c r="F18" s="41" t="s">
        <v>16</v>
      </c>
      <c r="G18" s="42" t="s">
        <v>17</v>
      </c>
      <c r="H18" s="43" t="s">
        <v>18</v>
      </c>
      <c r="I18" s="44" t="s">
        <v>19</v>
      </c>
      <c r="J18" s="45" t="s">
        <v>20</v>
      </c>
      <c r="K18" s="46" t="s">
        <v>21</v>
      </c>
      <c r="L18" s="47" t="s">
        <v>22</v>
      </c>
      <c r="M18" s="48" t="s">
        <v>23</v>
      </c>
      <c r="N18" s="161" t="s">
        <v>66</v>
      </c>
    </row>
    <row r="19" spans="6:13" ht="12.75">
      <c r="F19" t="s">
        <v>48</v>
      </c>
      <c r="G19" t="s">
        <v>48</v>
      </c>
      <c r="H19" t="s">
        <v>48</v>
      </c>
      <c r="I19" t="s">
        <v>28</v>
      </c>
      <c r="J19" t="s">
        <v>28</v>
      </c>
      <c r="K19" t="s">
        <v>28</v>
      </c>
      <c r="L19" t="s">
        <v>28</v>
      </c>
      <c r="M19" t="s">
        <v>28</v>
      </c>
    </row>
    <row r="20" spans="1:14" ht="12.75">
      <c r="A20" s="204" t="s">
        <v>52</v>
      </c>
      <c r="B20" s="204"/>
      <c r="C20" s="160"/>
      <c r="D20" s="160"/>
      <c r="E20" s="160">
        <v>630</v>
      </c>
      <c r="F20" s="160">
        <v>125</v>
      </c>
      <c r="G20" s="160">
        <v>0</v>
      </c>
      <c r="H20" s="160">
        <v>32</v>
      </c>
      <c r="I20" s="160">
        <v>50</v>
      </c>
      <c r="J20" s="160">
        <v>30</v>
      </c>
      <c r="K20" s="160">
        <v>5.7</v>
      </c>
      <c r="L20" s="160">
        <v>3.6</v>
      </c>
      <c r="M20" s="160">
        <v>12.8</v>
      </c>
      <c r="N20" s="173"/>
    </row>
    <row r="21" spans="1:14" ht="12.75">
      <c r="A21" s="204" t="s">
        <v>65</v>
      </c>
      <c r="B21" s="205"/>
      <c r="C21" s="160"/>
      <c r="D21" s="160"/>
      <c r="E21" s="160">
        <v>690</v>
      </c>
      <c r="F21" s="160">
        <v>71</v>
      </c>
      <c r="G21" s="160">
        <v>28</v>
      </c>
      <c r="H21" s="160">
        <v>32</v>
      </c>
      <c r="I21" s="160">
        <v>25</v>
      </c>
      <c r="J21" s="160">
        <v>19</v>
      </c>
      <c r="K21" s="160">
        <v>3.2</v>
      </c>
      <c r="L21" s="160">
        <v>1.6</v>
      </c>
      <c r="M21" s="160">
        <v>8.2</v>
      </c>
      <c r="N21" s="160">
        <v>22</v>
      </c>
    </row>
    <row r="22" spans="1:14" ht="12.75">
      <c r="A22" s="204" t="s">
        <v>64</v>
      </c>
      <c r="B22" s="205"/>
      <c r="C22" s="160"/>
      <c r="D22" s="160"/>
      <c r="E22" s="160">
        <v>1116</v>
      </c>
      <c r="F22" s="160">
        <v>127</v>
      </c>
      <c r="G22" s="160">
        <v>38</v>
      </c>
      <c r="H22" s="160">
        <v>51</v>
      </c>
      <c r="I22" s="160">
        <v>41</v>
      </c>
      <c r="J22" s="160">
        <v>30</v>
      </c>
      <c r="K22" s="160">
        <v>5.1</v>
      </c>
      <c r="L22" s="160">
        <v>2.5</v>
      </c>
      <c r="M22" s="160">
        <v>6</v>
      </c>
      <c r="N22" s="160">
        <v>35.5</v>
      </c>
    </row>
    <row r="23" spans="1:14" ht="12.75">
      <c r="A23" s="204" t="s">
        <v>67</v>
      </c>
      <c r="B23" s="205"/>
      <c r="C23" s="160"/>
      <c r="D23" s="160"/>
      <c r="E23" s="160">
        <v>1083</v>
      </c>
      <c r="F23" s="160">
        <v>120</v>
      </c>
      <c r="G23" s="160">
        <v>40</v>
      </c>
      <c r="H23" s="160">
        <v>50.8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</row>
    <row r="24" spans="1:14" ht="12.75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73"/>
    </row>
    <row r="25" spans="1:14" ht="12.75">
      <c r="A25" s="204"/>
      <c r="B25" s="205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73"/>
    </row>
    <row r="26" spans="1:14" ht="12.75">
      <c r="A26" s="204"/>
      <c r="B26" s="205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73"/>
    </row>
    <row r="27" spans="1:14" ht="12.75">
      <c r="A27" s="204"/>
      <c r="B27" s="205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73"/>
    </row>
    <row r="28" spans="1:14" ht="12.75">
      <c r="A28" s="204"/>
      <c r="B28" s="205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73"/>
    </row>
    <row r="29" spans="1:14" ht="12.75">
      <c r="A29" s="204"/>
      <c r="B29" s="205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73"/>
    </row>
    <row r="30" spans="1:14" ht="12.75">
      <c r="A30" s="204"/>
      <c r="B30" s="205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73"/>
    </row>
    <row r="31" ht="12.75">
      <c r="A31" t="s">
        <v>53</v>
      </c>
    </row>
    <row r="34" spans="1:16" s="161" customFormat="1" ht="14.25">
      <c r="A34" s="163" t="s">
        <v>42</v>
      </c>
      <c r="B34" s="164" t="s">
        <v>13</v>
      </c>
      <c r="C34" s="164" t="s">
        <v>14</v>
      </c>
      <c r="D34" s="164" t="s">
        <v>15</v>
      </c>
      <c r="E34" s="165" t="s">
        <v>16</v>
      </c>
      <c r="F34" s="166" t="s">
        <v>17</v>
      </c>
      <c r="G34" s="167" t="s">
        <v>18</v>
      </c>
      <c r="H34" s="168" t="s">
        <v>19</v>
      </c>
      <c r="I34" s="169" t="s">
        <v>20</v>
      </c>
      <c r="J34" s="170" t="s">
        <v>21</v>
      </c>
      <c r="K34" s="171" t="s">
        <v>22</v>
      </c>
      <c r="L34" s="172" t="s">
        <v>23</v>
      </c>
      <c r="M34" s="161" t="s">
        <v>66</v>
      </c>
      <c r="N34" s="161" t="s">
        <v>70</v>
      </c>
      <c r="O34" s="161" t="s">
        <v>71</v>
      </c>
      <c r="P34" s="161" t="s">
        <v>72</v>
      </c>
    </row>
    <row r="35" spans="1:12" ht="12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</row>
    <row r="36" spans="1:13" ht="12.75">
      <c r="A36" s="174" t="s">
        <v>55</v>
      </c>
      <c r="B36" s="174"/>
      <c r="C36" s="174"/>
      <c r="D36" s="174">
        <v>0</v>
      </c>
      <c r="E36" s="174">
        <v>0</v>
      </c>
      <c r="F36" s="174">
        <v>0</v>
      </c>
      <c r="G36" s="174">
        <v>0</v>
      </c>
      <c r="H36" s="174">
        <v>154</v>
      </c>
      <c r="I36" s="174">
        <v>0</v>
      </c>
      <c r="J36" s="174">
        <v>0</v>
      </c>
      <c r="K36" s="174">
        <v>0</v>
      </c>
      <c r="L36" s="174">
        <v>0</v>
      </c>
      <c r="M36" s="198">
        <v>154</v>
      </c>
    </row>
    <row r="37" spans="1:16" ht="12.75">
      <c r="A37" s="174" t="s">
        <v>69</v>
      </c>
      <c r="B37" s="174"/>
      <c r="C37" s="174"/>
      <c r="D37" s="174">
        <v>0</v>
      </c>
      <c r="E37" s="174">
        <v>0</v>
      </c>
      <c r="F37" s="174">
        <v>0</v>
      </c>
      <c r="G37" s="174">
        <v>0</v>
      </c>
      <c r="H37" s="174">
        <v>145</v>
      </c>
      <c r="I37" s="174">
        <v>4</v>
      </c>
      <c r="J37" s="174">
        <v>1</v>
      </c>
      <c r="K37" s="174">
        <v>2.5</v>
      </c>
      <c r="L37" s="174">
        <v>0</v>
      </c>
      <c r="M37" s="198">
        <v>127</v>
      </c>
      <c r="N37" s="198">
        <v>5</v>
      </c>
      <c r="O37" s="198">
        <v>24</v>
      </c>
      <c r="P37" s="198">
        <v>0</v>
      </c>
    </row>
    <row r="38" spans="1:12" ht="12.75">
      <c r="A38" s="174" t="s">
        <v>56</v>
      </c>
      <c r="B38" s="174"/>
      <c r="C38" s="174"/>
      <c r="D38" s="174">
        <v>133</v>
      </c>
      <c r="E38" s="174">
        <v>33</v>
      </c>
      <c r="F38" s="174">
        <v>0</v>
      </c>
      <c r="G38" s="174">
        <v>0</v>
      </c>
      <c r="H38" s="174">
        <v>51</v>
      </c>
      <c r="I38" s="174">
        <v>0</v>
      </c>
      <c r="J38" s="174">
        <v>0</v>
      </c>
      <c r="K38" s="174">
        <v>0</v>
      </c>
      <c r="L38" s="174">
        <v>0</v>
      </c>
    </row>
    <row r="39" spans="1:12" ht="12.75">
      <c r="A39" s="174" t="s">
        <v>57</v>
      </c>
      <c r="B39" s="174"/>
      <c r="C39" s="174"/>
      <c r="D39" s="174">
        <v>160</v>
      </c>
      <c r="E39" s="174">
        <v>40</v>
      </c>
      <c r="F39" s="174">
        <v>0</v>
      </c>
      <c r="G39" s="174">
        <v>0</v>
      </c>
      <c r="H39" s="174">
        <v>31</v>
      </c>
      <c r="I39" s="174">
        <v>0</v>
      </c>
      <c r="J39" s="174">
        <v>0</v>
      </c>
      <c r="K39" s="174">
        <v>0</v>
      </c>
      <c r="L39" s="174">
        <v>0</v>
      </c>
    </row>
    <row r="40" spans="1:12" ht="12.7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</row>
    <row r="41" ht="12.75">
      <c r="A41" s="194" t="s">
        <v>61</v>
      </c>
    </row>
  </sheetData>
  <sheetProtection/>
  <mergeCells count="10">
    <mergeCell ref="A20:B20"/>
    <mergeCell ref="A22:B22"/>
    <mergeCell ref="A23:B23"/>
    <mergeCell ref="A28:B28"/>
    <mergeCell ref="A29:B29"/>
    <mergeCell ref="A30:B30"/>
    <mergeCell ref="A21:B21"/>
    <mergeCell ref="A25:B25"/>
    <mergeCell ref="A26:B26"/>
    <mergeCell ref="A27:B27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L26" sqref="L26"/>
    </sheetView>
  </sheetViews>
  <sheetFormatPr defaultColWidth="11.421875" defaultRowHeight="12.75"/>
  <sheetData/>
  <sheetProtection password="C72A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/>
  <legacyDrawing r:id="rId2"/>
  <oleObjects>
    <oleObject progId="Dokument" shapeId="18985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Kantonsspital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Christine</dc:creator>
  <cp:keywords/>
  <dc:description/>
  <cp:lastModifiedBy>Thomas M. Berger</cp:lastModifiedBy>
  <cp:lastPrinted>2011-03-03T10:59:13Z</cp:lastPrinted>
  <dcterms:created xsi:type="dcterms:W3CDTF">2006-07-28T14:14:24Z</dcterms:created>
  <dcterms:modified xsi:type="dcterms:W3CDTF">2013-02-02T13:52:53Z</dcterms:modified>
  <cp:category/>
  <cp:version/>
  <cp:contentType/>
  <cp:contentStatus/>
</cp:coreProperties>
</file>